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vansr2\Downloads\"/>
    </mc:Choice>
  </mc:AlternateContent>
  <xr:revisionPtr revIDLastSave="0" documentId="13_ncr:1_{2F85CEA8-AEDB-435B-ABDA-80A8EE04F784}" xr6:coauthVersionLast="47" xr6:coauthVersionMax="47" xr10:uidLastSave="{00000000-0000-0000-0000-000000000000}"/>
  <bookViews>
    <workbookView xWindow="-110" yWindow="-110" windowWidth="19420" windowHeight="10420" tabRatio="500" activeTab="1" xr2:uid="{00000000-000D-0000-FFFF-FFFF00000000}"/>
  </bookViews>
  <sheets>
    <sheet name="DiffusionCoefficientCalculator" sheetId="1" r:id="rId1"/>
    <sheet name="Solvent Data, Calcula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2" l="1"/>
  <c r="J24" i="2"/>
  <c r="I40" i="2" l="1"/>
  <c r="G40" i="2"/>
  <c r="N44" i="2"/>
  <c r="N39" i="2"/>
  <c r="N34" i="2"/>
  <c r="I44" i="2" l="1"/>
  <c r="G44" i="2"/>
  <c r="I24" i="2" l="1"/>
  <c r="K24" i="2" s="1"/>
  <c r="C24" i="2" l="1"/>
  <c r="B24" i="2" l="1"/>
  <c r="I26" i="2"/>
  <c r="I31" i="2" s="1"/>
  <c r="I28" i="2" l="1"/>
  <c r="H24" i="2"/>
  <c r="B29" i="2"/>
  <c r="B36" i="2"/>
  <c r="A29" i="2"/>
  <c r="A24" i="2"/>
  <c r="I32" i="2" l="1"/>
  <c r="I38" i="2" s="1"/>
  <c r="J28" i="2"/>
  <c r="J32" i="2" s="1"/>
  <c r="K28" i="2"/>
  <c r="K32" i="2" s="1"/>
  <c r="D29" i="2"/>
  <c r="B31" i="2" s="1"/>
  <c r="B34" i="2" s="1"/>
  <c r="J38" i="2" l="1"/>
  <c r="J37" i="2"/>
  <c r="J36" i="2"/>
  <c r="I37" i="2"/>
  <c r="I36" i="2"/>
  <c r="K38" i="2"/>
  <c r="K36" i="2"/>
  <c r="K37" i="2"/>
  <c r="C38" i="2"/>
  <c r="N46" i="2" l="1"/>
  <c r="N41" i="2"/>
  <c r="N36" i="2"/>
  <c r="N35" i="2"/>
  <c r="N40" i="2"/>
  <c r="N45" i="2"/>
  <c r="D38" i="2"/>
  <c r="B38" i="2"/>
  <c r="B13" i="1"/>
  <c r="N47" i="2" l="1"/>
  <c r="Q45" i="2" s="1"/>
  <c r="N42" i="2"/>
  <c r="Q40" i="2" s="1"/>
  <c r="N37" i="2"/>
  <c r="O37" i="2" s="1"/>
  <c r="Q46" i="2" l="1"/>
  <c r="I41" i="2" s="1"/>
  <c r="I45" i="2" s="1"/>
  <c r="O47" i="2"/>
  <c r="Q41" i="2"/>
  <c r="G41" i="2" s="1"/>
  <c r="G45" i="2" s="1"/>
  <c r="O42" i="2"/>
  <c r="Q36" i="2"/>
  <c r="Q35" i="2"/>
  <c r="H41" i="2" l="1"/>
  <c r="H45" i="2" s="1"/>
  <c r="B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Evans</author>
  </authors>
  <commentList>
    <comment ref="B5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Rob Evans: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12"/>
            <color indexed="81"/>
            <rFont val="Calibri"/>
            <family val="2"/>
          </rPr>
          <t>Calculation requires solute MW and the solvent used and predicts D of solute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Rob Evans: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12"/>
            <color indexed="81"/>
            <rFont val="Calibri"/>
            <family val="2"/>
          </rPr>
          <t>Choose solvent from the list here</t>
        </r>
      </text>
    </comment>
    <comment ref="B8" authorId="0" shapeId="0" xr:uid="{00000000-0006-0000-0000-000003000000}">
      <text>
        <r>
          <rPr>
            <b/>
            <sz val="9"/>
            <color indexed="81"/>
            <rFont val="Calibri"/>
            <family val="2"/>
          </rPr>
          <t>Rob Evans: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12"/>
            <color indexed="81"/>
            <rFont val="Calibri"/>
            <family val="2"/>
          </rPr>
          <t>Sample Temperature / K</t>
        </r>
      </text>
    </comment>
    <comment ref="B10" authorId="0" shapeId="0" xr:uid="{00000000-0006-0000-0000-000004000000}">
      <text>
        <r>
          <rPr>
            <b/>
            <sz val="9"/>
            <color indexed="81"/>
            <rFont val="Calibri"/>
            <family val="2"/>
          </rPr>
          <t>Rob Evans: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12"/>
            <color indexed="81"/>
            <rFont val="Calibri"/>
            <family val="2"/>
          </rPr>
          <t>Enter molecular weight of solute/ g mol</t>
        </r>
        <r>
          <rPr>
            <b/>
            <vertAlign val="superscript"/>
            <sz val="12"/>
            <color indexed="81"/>
            <rFont val="Calibri"/>
            <family val="2"/>
          </rPr>
          <t>-1</t>
        </r>
      </text>
    </comment>
    <comment ref="B13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Rob Evans: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12"/>
            <color indexed="81"/>
            <rFont val="Calibri"/>
            <family val="2"/>
          </rPr>
          <t>Predicted diffusion coefficient/ m</t>
        </r>
        <r>
          <rPr>
            <b/>
            <vertAlign val="superscript"/>
            <sz val="12"/>
            <color indexed="81"/>
            <rFont val="Calibri"/>
            <family val="2"/>
          </rPr>
          <t>2</t>
        </r>
        <r>
          <rPr>
            <b/>
            <sz val="12"/>
            <color indexed="81"/>
            <rFont val="Calibri"/>
            <family val="2"/>
          </rPr>
          <t xml:space="preserve"> s</t>
        </r>
        <r>
          <rPr>
            <b/>
            <vertAlign val="superscript"/>
            <sz val="12"/>
            <color indexed="81"/>
            <rFont val="Calibri"/>
            <family val="2"/>
          </rPr>
          <t>-1</t>
        </r>
      </text>
    </comment>
    <comment ref="B17" authorId="0" shapeId="0" xr:uid="{00000000-0006-0000-0000-000006000000}">
      <text>
        <r>
          <rPr>
            <b/>
            <sz val="9"/>
            <color indexed="81"/>
            <rFont val="Calibri"/>
            <family val="2"/>
          </rPr>
          <t>Rob Evans: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12"/>
            <color indexed="81"/>
            <rFont val="Calibri"/>
            <family val="2"/>
          </rPr>
          <t>Calculation requires experimental D and the solvent used and estimates MW of solute</t>
        </r>
      </text>
    </comment>
    <comment ref="B19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Rob Evans: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12"/>
            <color indexed="81"/>
            <rFont val="Calibri"/>
            <family val="2"/>
          </rPr>
          <t>Choose solvent from the list here</t>
        </r>
      </text>
    </comment>
    <comment ref="B20" authorId="0" shapeId="0" xr:uid="{00000000-0006-0000-0000-000008000000}">
      <text>
        <r>
          <rPr>
            <b/>
            <sz val="9"/>
            <color indexed="81"/>
            <rFont val="Calibri"/>
            <family val="2"/>
          </rPr>
          <t>Rob Evans: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12"/>
            <color indexed="81"/>
            <rFont val="Calibri"/>
            <family val="2"/>
          </rPr>
          <t xml:space="preserve">Sample Temperature: set to 298 K
</t>
        </r>
        <r>
          <rPr>
            <sz val="9"/>
            <color indexed="81"/>
            <rFont val="Calibri"/>
            <family val="2"/>
          </rPr>
          <t xml:space="preserve">
if you change this, you will need to change the viscosity aaccordingly</t>
        </r>
      </text>
    </comment>
    <comment ref="B22" authorId="0" shapeId="0" xr:uid="{00000000-0006-0000-0000-000009000000}">
      <text>
        <r>
          <rPr>
            <b/>
            <sz val="9"/>
            <color indexed="81"/>
            <rFont val="Calibri"/>
            <family val="2"/>
          </rPr>
          <t>Rob Evans: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12"/>
            <color indexed="81"/>
            <rFont val="Calibri"/>
            <family val="2"/>
          </rPr>
          <t>Enter experimental diffusion coefficient/ m</t>
        </r>
        <r>
          <rPr>
            <b/>
            <vertAlign val="superscript"/>
            <sz val="12"/>
            <color indexed="81"/>
            <rFont val="Calibri"/>
            <family val="2"/>
          </rPr>
          <t>2</t>
        </r>
        <r>
          <rPr>
            <b/>
            <sz val="12"/>
            <color indexed="81"/>
            <rFont val="Calibri"/>
            <family val="2"/>
          </rPr>
          <t xml:space="preserve"> s</t>
        </r>
        <r>
          <rPr>
            <b/>
            <vertAlign val="superscript"/>
            <sz val="12"/>
            <color indexed="81"/>
            <rFont val="Calibri"/>
            <family val="2"/>
          </rPr>
          <t>-1</t>
        </r>
      </text>
    </comment>
    <comment ref="B25" authorId="0" shapeId="0" xr:uid="{00000000-0006-0000-0000-00000A000000}">
      <text>
        <r>
          <rPr>
            <b/>
            <sz val="9"/>
            <color indexed="81"/>
            <rFont val="Calibri"/>
            <family val="2"/>
          </rPr>
          <t>Rob Evans: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b/>
            <sz val="12"/>
            <color indexed="81"/>
            <rFont val="Calibri"/>
            <family val="2"/>
          </rPr>
          <t>Predicted molecumar weight of solute / g mol</t>
        </r>
        <r>
          <rPr>
            <b/>
            <vertAlign val="superscript"/>
            <sz val="12"/>
            <color indexed="81"/>
            <rFont val="Calibri"/>
            <family val="2"/>
          </rPr>
          <t>-1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Evans, Rob</author>
  </authors>
  <commentList>
    <comment ref="E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Evans, Rob:</t>
        </r>
        <r>
          <rPr>
            <sz val="9"/>
            <color indexed="81"/>
            <rFont val="Tahoma"/>
            <family val="2"/>
          </rPr>
          <t xml:space="preserve">
Not used by calculator
</t>
        </r>
      </text>
    </comment>
    <comment ref="C3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Evans, Rob:</t>
        </r>
        <r>
          <rPr>
            <sz val="9"/>
            <color indexed="81"/>
            <rFont val="Tahoma"/>
            <family val="2"/>
          </rPr>
          <t xml:space="preserve">
95 % confidence limits either side
</t>
        </r>
      </text>
    </comment>
    <comment ref="H4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Evans, Rob:</t>
        </r>
        <r>
          <rPr>
            <sz val="9"/>
            <color indexed="81"/>
            <rFont val="Tahoma"/>
            <family val="2"/>
          </rPr>
          <t xml:space="preserve">
95 % confidence limits either side. </t>
        </r>
      </text>
    </comment>
  </commentList>
</comments>
</file>

<file path=xl/sharedStrings.xml><?xml version="1.0" encoding="utf-8"?>
<sst xmlns="http://schemas.openxmlformats.org/spreadsheetml/2006/main" count="101" uniqueCount="70">
  <si>
    <t>Sample:</t>
  </si>
  <si>
    <t>MW:</t>
  </si>
  <si>
    <t>Solvent:</t>
  </si>
  <si>
    <t>D2O</t>
  </si>
  <si>
    <t>MW</t>
  </si>
  <si>
    <t>density</t>
  </si>
  <si>
    <t>g mol-1</t>
  </si>
  <si>
    <t>g cm-3</t>
  </si>
  <si>
    <t>Solvent</t>
  </si>
  <si>
    <t>Type of Calculation</t>
  </si>
  <si>
    <t>Diffusion Coefficient:</t>
  </si>
  <si>
    <t>rsolv</t>
  </si>
  <si>
    <t>Solute</t>
  </si>
  <si>
    <t>rsolu</t>
  </si>
  <si>
    <t>Test Sample</t>
  </si>
  <si>
    <t>M --&gt; D</t>
  </si>
  <si>
    <t>Solvent radius</t>
  </si>
  <si>
    <t>Solute radius</t>
  </si>
  <si>
    <t>CALCULATION</t>
  </si>
  <si>
    <t>alpha</t>
  </si>
  <si>
    <t>rsolv/rsolu</t>
  </si>
  <si>
    <t>fGW</t>
  </si>
  <si>
    <t>userdefined</t>
  </si>
  <si>
    <t>DMSO-d6</t>
  </si>
  <si>
    <t>toluene-d8</t>
  </si>
  <si>
    <t>CDCl3</t>
  </si>
  <si>
    <t>experiment T</t>
  </si>
  <si>
    <t>Experimental T</t>
  </si>
  <si>
    <t>viscosity</t>
  </si>
  <si>
    <t>M--&gt;D</t>
  </si>
  <si>
    <t>m2 s-1</t>
  </si>
  <si>
    <t>S-E term</t>
  </si>
  <si>
    <t>&lt;kT/6*pi*visc&gt;</t>
  </si>
  <si>
    <t>Measured D</t>
  </si>
  <si>
    <t>molecular weight</t>
  </si>
  <si>
    <t>D--&gt;M</t>
  </si>
  <si>
    <t>^3</t>
  </si>
  <si>
    <t>^2</t>
  </si>
  <si>
    <t>^1</t>
  </si>
  <si>
    <t>^0</t>
  </si>
  <si>
    <t>*measured D</t>
  </si>
  <si>
    <t>coefficients of cubic equation</t>
  </si>
  <si>
    <t>d</t>
  </si>
  <si>
    <t>Q</t>
  </si>
  <si>
    <t>R</t>
  </si>
  <si>
    <t>S</t>
  </si>
  <si>
    <t>T</t>
  </si>
  <si>
    <t>D --&gt; M</t>
  </si>
  <si>
    <t>Predicted MW</t>
  </si>
  <si>
    <t>DO NOT TOUCH ANY OF THIS</t>
  </si>
  <si>
    <t>Solvent data</t>
  </si>
  <si>
    <t>Calculations</t>
  </si>
  <si>
    <t>Diffusion coefficient</t>
  </si>
  <si>
    <t>Diffusion Coefficient</t>
  </si>
  <si>
    <t>benzene-d6</t>
  </si>
  <si>
    <t>cyclohexane-d12</t>
  </si>
  <si>
    <t>methanol-d4</t>
  </si>
  <si>
    <t>tetrahydrofuran-d8</t>
  </si>
  <si>
    <t>A</t>
  </si>
  <si>
    <t>B</t>
  </si>
  <si>
    <t>Arrhenius parameters viscosity (Dn)</t>
  </si>
  <si>
    <t>Diffusion Coefficient Calculator RE 2017</t>
  </si>
  <si>
    <t>Cardano Soln of Cubic Equation</t>
  </si>
  <si>
    <t>rsolute</t>
  </si>
  <si>
    <t>+</t>
  </si>
  <si>
    <t>—</t>
  </si>
  <si>
    <t>D+</t>
  </si>
  <si>
    <t>D-</t>
  </si>
  <si>
    <t>-</t>
  </si>
  <si>
    <t xml:space="preserve">Original version written 2012. Updated xi 2017 to expand range of solvents and allow for variable temperature. Updated x23 to correct small bug in solvent parameters.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</si>
</sst>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E+00"/>
    <numFmt numFmtId="166" formatCode="0.0"/>
    <numFmt numFmtId="167" formatCode="0.0000E+00"/>
    <numFmt numFmtId="168" formatCode="0.00000E+00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2"/>
      <color indexed="81"/>
      <name val="Calibri"/>
      <family val="2"/>
    </font>
    <font>
      <b/>
      <vertAlign val="superscript"/>
      <sz val="12"/>
      <color indexed="81"/>
      <name val="Calibri"/>
      <family val="2"/>
    </font>
    <font>
      <b/>
      <sz val="2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0" fillId="0" borderId="0" xfId="0" applyFont="1" applyProtection="1"/>
    <xf numFmtId="11" fontId="0" fillId="0" borderId="0" xfId="0" applyNumberFormat="1" applyProtection="1"/>
    <xf numFmtId="1" fontId="0" fillId="0" borderId="0" xfId="0" applyNumberFormat="1" applyProtection="1"/>
    <xf numFmtId="0" fontId="0" fillId="0" borderId="0" xfId="0" applyProtection="1">
      <protection locked="0"/>
    </xf>
    <xf numFmtId="11" fontId="0" fillId="0" borderId="0" xfId="0" applyNumberFormat="1" applyProtection="1">
      <protection locked="0"/>
    </xf>
    <xf numFmtId="0" fontId="9" fillId="0" borderId="0" xfId="0" applyFont="1" applyProtection="1"/>
    <xf numFmtId="0" fontId="4" fillId="0" borderId="0" xfId="0" applyFont="1" applyProtection="1"/>
    <xf numFmtId="0" fontId="1" fillId="3" borderId="4" xfId="0" applyFont="1" applyFill="1" applyBorder="1" applyProtection="1"/>
    <xf numFmtId="0" fontId="1" fillId="2" borderId="2" xfId="0" applyFont="1" applyFill="1" applyBorder="1" applyProtection="1"/>
    <xf numFmtId="0" fontId="0" fillId="3" borderId="5" xfId="0" applyFill="1" applyBorder="1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0" fillId="2" borderId="6" xfId="0" applyFill="1" applyBorder="1" applyProtection="1"/>
    <xf numFmtId="0" fontId="0" fillId="0" borderId="5" xfId="0" applyBorder="1" applyProtection="1"/>
    <xf numFmtId="168" fontId="13" fillId="4" borderId="5" xfId="0" applyNumberFormat="1" applyFont="1" applyFill="1" applyBorder="1" applyProtection="1"/>
    <xf numFmtId="2" fontId="13" fillId="4" borderId="6" xfId="0" applyNumberFormat="1" applyFont="1" applyFill="1" applyBorder="1" applyProtection="1"/>
    <xf numFmtId="164" fontId="0" fillId="2" borderId="6" xfId="0" applyNumberFormat="1" applyFill="1" applyBorder="1" applyProtection="1"/>
    <xf numFmtId="0" fontId="0" fillId="0" borderId="7" xfId="0" applyBorder="1" applyProtection="1"/>
    <xf numFmtId="0" fontId="0" fillId="3" borderId="7" xfId="0" applyFill="1" applyBorder="1" applyProtection="1"/>
    <xf numFmtId="168" fontId="13" fillId="4" borderId="7" xfId="0" applyNumberFormat="1" applyFont="1" applyFill="1" applyBorder="1" applyProtection="1"/>
    <xf numFmtId="2" fontId="13" fillId="4" borderId="8" xfId="0" applyNumberFormat="1" applyFont="1" applyFill="1" applyBorder="1" applyProtection="1"/>
    <xf numFmtId="164" fontId="0" fillId="2" borderId="8" xfId="0" applyNumberFormat="1" applyFill="1" applyBorder="1" applyProtection="1"/>
    <xf numFmtId="0" fontId="0" fillId="0" borderId="9" xfId="0" applyBorder="1" applyProtection="1"/>
    <xf numFmtId="0" fontId="0" fillId="3" borderId="9" xfId="0" applyFill="1" applyBorder="1" applyProtection="1"/>
    <xf numFmtId="168" fontId="13" fillId="4" borderId="9" xfId="0" applyNumberFormat="1" applyFont="1" applyFill="1" applyBorder="1" applyProtection="1"/>
    <xf numFmtId="2" fontId="13" fillId="4" borderId="3" xfId="0" applyNumberFormat="1" applyFont="1" applyFill="1" applyBorder="1" applyProtection="1"/>
    <xf numFmtId="164" fontId="0" fillId="2" borderId="3" xfId="0" applyNumberFormat="1" applyFill="1" applyBorder="1" applyProtection="1"/>
    <xf numFmtId="0" fontId="0" fillId="0" borderId="4" xfId="0" applyBorder="1" applyProtection="1"/>
    <xf numFmtId="165" fontId="0" fillId="0" borderId="0" xfId="0" applyNumberFormat="1" applyProtection="1"/>
    <xf numFmtId="167" fontId="0" fillId="0" borderId="0" xfId="0" applyNumberFormat="1" applyProtection="1"/>
    <xf numFmtId="166" fontId="0" fillId="0" borderId="0" xfId="0" applyNumberFormat="1" applyProtection="1"/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1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165" fontId="0" fillId="0" borderId="0" xfId="0" applyNumberForma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" fillId="4" borderId="4" xfId="0" applyFont="1" applyFill="1" applyBorder="1" applyAlignment="1" applyProtection="1">
      <alignment horizontal="center" wrapText="1"/>
    </xf>
    <xf numFmtId="0" fontId="1" fillId="4" borderId="2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opLeftCell="A7" workbookViewId="0">
      <selection activeCell="B19" sqref="B19"/>
    </sheetView>
  </sheetViews>
  <sheetFormatPr defaultColWidth="11" defaultRowHeight="15.5" x14ac:dyDescent="0.35"/>
  <cols>
    <col min="1" max="1" width="18.58203125" style="1" customWidth="1"/>
    <col min="2" max="2" width="12.08203125" style="1" bestFit="1" customWidth="1"/>
    <col min="3" max="4" width="11" style="1"/>
    <col min="5" max="5" width="13.83203125" style="1" customWidth="1"/>
    <col min="6" max="6" width="14" style="1" customWidth="1"/>
    <col min="7" max="16384" width="11" style="1"/>
  </cols>
  <sheetData>
    <row r="1" spans="1:6" x14ac:dyDescent="0.35">
      <c r="A1" s="43" t="s">
        <v>61</v>
      </c>
      <c r="B1" s="44"/>
      <c r="C1" s="44"/>
    </row>
    <row r="2" spans="1:6" x14ac:dyDescent="0.35">
      <c r="E2" s="2"/>
    </row>
    <row r="3" spans="1:6" x14ac:dyDescent="0.35">
      <c r="A3" s="2" t="s">
        <v>0</v>
      </c>
      <c r="B3" s="6" t="s">
        <v>14</v>
      </c>
    </row>
    <row r="4" spans="1:6" x14ac:dyDescent="0.35">
      <c r="A4" s="2"/>
    </row>
    <row r="5" spans="1:6" x14ac:dyDescent="0.35">
      <c r="A5" s="2" t="s">
        <v>9</v>
      </c>
      <c r="B5" s="2" t="s">
        <v>15</v>
      </c>
      <c r="F5" s="2"/>
    </row>
    <row r="7" spans="1:6" x14ac:dyDescent="0.35">
      <c r="A7" s="2" t="s">
        <v>2</v>
      </c>
      <c r="B7" s="6" t="s">
        <v>54</v>
      </c>
      <c r="F7" s="2"/>
    </row>
    <row r="8" spans="1:6" x14ac:dyDescent="0.35">
      <c r="A8" s="2" t="s">
        <v>27</v>
      </c>
      <c r="B8" s="6">
        <v>300</v>
      </c>
    </row>
    <row r="9" spans="1:6" x14ac:dyDescent="0.35">
      <c r="A9" s="2"/>
    </row>
    <row r="10" spans="1:6" x14ac:dyDescent="0.35">
      <c r="A10" s="2" t="s">
        <v>1</v>
      </c>
      <c r="B10" s="6">
        <v>450</v>
      </c>
      <c r="F10" s="2"/>
    </row>
    <row r="11" spans="1:6" x14ac:dyDescent="0.35">
      <c r="A11" s="3" t="s">
        <v>6</v>
      </c>
    </row>
    <row r="12" spans="1:6" x14ac:dyDescent="0.35">
      <c r="A12" s="3"/>
    </row>
    <row r="13" spans="1:6" x14ac:dyDescent="0.35">
      <c r="A13" s="2" t="s">
        <v>10</v>
      </c>
      <c r="B13" s="31">
        <f>'Solvent Data, Calculation'!C38</f>
        <v>8.0070212356504067E-10</v>
      </c>
    </row>
    <row r="14" spans="1:6" x14ac:dyDescent="0.35">
      <c r="A14" s="3" t="s">
        <v>30</v>
      </c>
    </row>
    <row r="16" spans="1:6" x14ac:dyDescent="0.35">
      <c r="A16" s="2"/>
      <c r="B16" s="2"/>
    </row>
    <row r="17" spans="1:2" x14ac:dyDescent="0.35">
      <c r="A17" s="2" t="s">
        <v>9</v>
      </c>
      <c r="B17" s="2" t="s">
        <v>47</v>
      </c>
    </row>
    <row r="19" spans="1:2" x14ac:dyDescent="0.35">
      <c r="A19" s="2" t="s">
        <v>2</v>
      </c>
      <c r="B19" s="6" t="s">
        <v>56</v>
      </c>
    </row>
    <row r="20" spans="1:2" x14ac:dyDescent="0.35">
      <c r="A20" s="2" t="s">
        <v>27</v>
      </c>
      <c r="B20" s="6">
        <v>300</v>
      </c>
    </row>
    <row r="21" spans="1:2" x14ac:dyDescent="0.35">
      <c r="A21" s="2"/>
    </row>
    <row r="22" spans="1:2" x14ac:dyDescent="0.35">
      <c r="A22" s="2" t="s">
        <v>53</v>
      </c>
      <c r="B22" s="7">
        <v>8.0000000000000003E-10</v>
      </c>
    </row>
    <row r="23" spans="1:2" x14ac:dyDescent="0.35">
      <c r="A23" s="3" t="s">
        <v>30</v>
      </c>
    </row>
    <row r="25" spans="1:2" x14ac:dyDescent="0.35">
      <c r="A25" s="2" t="s">
        <v>48</v>
      </c>
      <c r="B25" s="5">
        <f>'Solvent Data, Calculation'!H45</f>
        <v>402.75841029376954</v>
      </c>
    </row>
    <row r="26" spans="1:2" x14ac:dyDescent="0.35">
      <c r="A26" s="3" t="s">
        <v>6</v>
      </c>
    </row>
    <row r="27" spans="1:2" x14ac:dyDescent="0.35">
      <c r="A27" s="37"/>
    </row>
  </sheetData>
  <mergeCells count="1">
    <mergeCell ref="A1:C1"/>
  </mergeCells>
  <dataValidations count="1">
    <dataValidation type="list" allowBlank="1" showInputMessage="1" showErrorMessage="1" sqref="G7" xr:uid="{00000000-0002-0000-0000-000000000000}">
      <formula1>$A$4:$A$9</formula1>
    </dataValidation>
  </dataValidations>
  <pageMargins left="0.75" right="0.75" top="1" bottom="1" header="0.5" footer="0.5"/>
  <pageSetup paperSize="9"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'Solvent Data, Calculation'!$A$5:$A$13</xm:f>
          </x14:formula1>
          <xm:sqref>B7 B19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7"/>
  <sheetViews>
    <sheetView tabSelected="1" workbookViewId="0">
      <selection activeCell="A34" sqref="A34"/>
    </sheetView>
  </sheetViews>
  <sheetFormatPr defaultColWidth="11" defaultRowHeight="15.5" x14ac:dyDescent="0.35"/>
  <cols>
    <col min="1" max="1" width="20.08203125" style="1" customWidth="1"/>
    <col min="2" max="2" width="12.08203125" style="1" bestFit="1" customWidth="1"/>
    <col min="3" max="3" width="13.08203125" style="1" customWidth="1"/>
    <col min="4" max="4" width="12.08203125" style="1" bestFit="1" customWidth="1"/>
    <col min="5" max="5" width="11" style="1"/>
    <col min="6" max="6" width="13.83203125" style="1" customWidth="1"/>
    <col min="7" max="7" width="11" style="1"/>
    <col min="8" max="8" width="15.08203125" style="1" customWidth="1"/>
    <col min="9" max="9" width="11.83203125" style="1" customWidth="1"/>
    <col min="10" max="11" width="11" style="1"/>
    <col min="12" max="12" width="11.83203125" style="1" customWidth="1"/>
    <col min="13" max="13" width="14.58203125" style="1" customWidth="1"/>
    <col min="14" max="14" width="12.08203125" style="1" bestFit="1" customWidth="1"/>
    <col min="15" max="15" width="11.33203125" style="1" customWidth="1"/>
    <col min="16" max="16384" width="11" style="1"/>
  </cols>
  <sheetData>
    <row r="1" spans="1:17" ht="43" customHeight="1" x14ac:dyDescent="0.7">
      <c r="A1" s="8" t="s">
        <v>49</v>
      </c>
    </row>
    <row r="2" spans="1:17" ht="16" customHeight="1" thickBot="1" x14ac:dyDescent="0.4">
      <c r="A2" s="9" t="s">
        <v>50</v>
      </c>
      <c r="J2" s="47" t="s">
        <v>69</v>
      </c>
      <c r="K2" s="47"/>
      <c r="L2" s="47"/>
      <c r="M2" s="47"/>
      <c r="N2" s="47"/>
      <c r="O2" s="47"/>
      <c r="P2" s="47"/>
      <c r="Q2" s="47"/>
    </row>
    <row r="3" spans="1:17" ht="32.25" customHeight="1" thickBot="1" x14ac:dyDescent="0.4">
      <c r="B3" s="10" t="s">
        <v>4</v>
      </c>
      <c r="C3" s="45" t="s">
        <v>60</v>
      </c>
      <c r="D3" s="46"/>
      <c r="E3" s="11" t="s">
        <v>5</v>
      </c>
      <c r="J3" s="47"/>
      <c r="K3" s="47"/>
      <c r="L3" s="47"/>
      <c r="M3" s="47"/>
      <c r="N3" s="47"/>
      <c r="O3" s="47"/>
      <c r="P3" s="47"/>
      <c r="Q3" s="47"/>
    </row>
    <row r="4" spans="1:17" ht="16" thickBot="1" x14ac:dyDescent="0.4">
      <c r="B4" s="12" t="s">
        <v>6</v>
      </c>
      <c r="C4" s="13" t="s">
        <v>58</v>
      </c>
      <c r="D4" s="14" t="s">
        <v>59</v>
      </c>
      <c r="E4" s="15" t="s">
        <v>7</v>
      </c>
    </row>
    <row r="5" spans="1:17" x14ac:dyDescent="0.35">
      <c r="A5" s="16" t="s">
        <v>3</v>
      </c>
      <c r="B5" s="12">
        <v>20.02</v>
      </c>
      <c r="C5" s="17">
        <v>4.520830206390411E-7</v>
      </c>
      <c r="D5" s="18">
        <v>2329.54</v>
      </c>
      <c r="E5" s="19">
        <v>1.1040000000000001</v>
      </c>
    </row>
    <row r="6" spans="1:17" x14ac:dyDescent="0.35">
      <c r="A6" s="20" t="s">
        <v>56</v>
      </c>
      <c r="B6" s="21">
        <v>36.07</v>
      </c>
      <c r="C6" s="22">
        <v>8.6228060363685332E-6</v>
      </c>
      <c r="D6" s="23">
        <v>1267.68</v>
      </c>
      <c r="E6" s="24">
        <v>0.88800000000000001</v>
      </c>
    </row>
    <row r="7" spans="1:17" x14ac:dyDescent="0.35">
      <c r="A7" s="20" t="s">
        <v>23</v>
      </c>
      <c r="B7" s="21">
        <v>84.17</v>
      </c>
      <c r="C7" s="22">
        <v>6.3237384360235782E-6</v>
      </c>
      <c r="D7" s="23">
        <v>1741.84</v>
      </c>
      <c r="E7" s="24">
        <v>1.1839999999999999</v>
      </c>
    </row>
    <row r="8" spans="1:17" x14ac:dyDescent="0.35">
      <c r="A8" s="20" t="s">
        <v>24</v>
      </c>
      <c r="B8" s="21">
        <v>100.19</v>
      </c>
      <c r="C8" s="22">
        <v>1.5038454560622864E-5</v>
      </c>
      <c r="D8" s="23">
        <v>1099.3599999999999</v>
      </c>
      <c r="E8" s="24">
        <v>0.93200000000000005</v>
      </c>
    </row>
    <row r="9" spans="1:17" x14ac:dyDescent="0.35">
      <c r="A9" s="20" t="s">
        <v>25</v>
      </c>
      <c r="B9" s="21">
        <v>120.38</v>
      </c>
      <c r="C9" s="22">
        <v>2.8602969982159181E-5</v>
      </c>
      <c r="D9" s="23">
        <v>877.553</v>
      </c>
      <c r="E9" s="24">
        <v>1.5</v>
      </c>
    </row>
    <row r="10" spans="1:17" x14ac:dyDescent="0.35">
      <c r="A10" s="20" t="s">
        <v>57</v>
      </c>
      <c r="B10" s="21">
        <v>80.16</v>
      </c>
      <c r="C10" s="22">
        <v>2.2078638513120189E-5</v>
      </c>
      <c r="D10" s="23">
        <v>930.4</v>
      </c>
      <c r="E10" s="24">
        <v>0.98499999999999999</v>
      </c>
    </row>
    <row r="11" spans="1:17" x14ac:dyDescent="0.35">
      <c r="A11" s="20" t="s">
        <v>54</v>
      </c>
      <c r="B11" s="21">
        <v>84.15</v>
      </c>
      <c r="C11" s="22">
        <v>9.455632143229191E-6</v>
      </c>
      <c r="D11" s="23">
        <v>1256.4100000000001</v>
      </c>
      <c r="E11" s="24">
        <v>0.95</v>
      </c>
    </row>
    <row r="12" spans="1:17" ht="16" thickBot="1" x14ac:dyDescent="0.4">
      <c r="A12" s="25" t="s">
        <v>55</v>
      </c>
      <c r="B12" s="26">
        <v>96.23</v>
      </c>
      <c r="C12" s="27">
        <v>6.1651382291598446E-6</v>
      </c>
      <c r="D12" s="28">
        <v>1504.43</v>
      </c>
      <c r="E12" s="29">
        <v>0.89300000000000002</v>
      </c>
    </row>
    <row r="13" spans="1:17" ht="16" thickBot="1" x14ac:dyDescent="0.4">
      <c r="A13" s="30" t="s">
        <v>22</v>
      </c>
      <c r="B13" s="34"/>
      <c r="C13" s="35"/>
      <c r="D13" s="36"/>
      <c r="E13" s="34"/>
    </row>
    <row r="18" spans="1:13" x14ac:dyDescent="0.35">
      <c r="A18" s="9" t="s">
        <v>51</v>
      </c>
    </row>
    <row r="20" spans="1:13" x14ac:dyDescent="0.35">
      <c r="A20" s="9" t="s">
        <v>18</v>
      </c>
      <c r="B20" s="9" t="s">
        <v>29</v>
      </c>
      <c r="F20" s="9"/>
      <c r="G20" s="9"/>
      <c r="H20" s="9" t="s">
        <v>18</v>
      </c>
      <c r="I20" s="9" t="s">
        <v>35</v>
      </c>
    </row>
    <row r="21" spans="1:13" x14ac:dyDescent="0.35">
      <c r="A21" s="2" t="s">
        <v>16</v>
      </c>
      <c r="H21" s="2" t="s">
        <v>16</v>
      </c>
    </row>
    <row r="22" spans="1:13" x14ac:dyDescent="0.35">
      <c r="F22" s="2"/>
    </row>
    <row r="23" spans="1:13" x14ac:dyDescent="0.35">
      <c r="A23" s="2" t="s">
        <v>8</v>
      </c>
      <c r="B23" s="2" t="s">
        <v>4</v>
      </c>
      <c r="C23" s="2" t="s">
        <v>28</v>
      </c>
      <c r="D23" s="2" t="s">
        <v>11</v>
      </c>
      <c r="E23" s="2"/>
      <c r="F23" s="2"/>
      <c r="H23" s="2" t="s">
        <v>8</v>
      </c>
      <c r="I23" s="2" t="s">
        <v>4</v>
      </c>
      <c r="J23" s="2" t="s">
        <v>28</v>
      </c>
      <c r="K23" s="2" t="s">
        <v>11</v>
      </c>
      <c r="L23" s="2"/>
      <c r="M23" s="2"/>
    </row>
    <row r="24" spans="1:13" x14ac:dyDescent="0.35">
      <c r="A24" s="1" t="str">
        <f>DiffusionCoefficientCalculator!B7</f>
        <v>benzene-d6</v>
      </c>
      <c r="B24" s="1">
        <f>VLOOKUP(DiffusionCoefficientCalculator!B7, A5:E12, 2, 0)</f>
        <v>84.15</v>
      </c>
      <c r="C24" s="1">
        <f>VLOOKUP(DiffusionCoefficientCalculator!B7,A5:D13,3,0)*EXP((VLOOKUP(DiffusionCoefficientCalculator!B7,A5:D13,4,0)/DiffusionCoefficientCalculator!B8))</f>
        <v>6.2306066602738021E-4</v>
      </c>
      <c r="D24" s="31">
        <f>((3*B24*0.001)/(4*PI()*6.022E+23*627))^(1/3)</f>
        <v>3.761136307572353E-10</v>
      </c>
      <c r="E24" s="31"/>
      <c r="F24" s="31"/>
      <c r="H24" s="1" t="str">
        <f>DiffusionCoefficientCalculator!B19</f>
        <v>methanol-d4</v>
      </c>
      <c r="I24" s="1">
        <f>VLOOKUP(DiffusionCoefficientCalculator!B19, A5:D13, 2, 0)</f>
        <v>36.07</v>
      </c>
      <c r="J24" s="1">
        <f>VLOOKUP(DiffusionCoefficientCalculator!B19,A5:D13,3,0)*EXP((VLOOKUP(DiffusionCoefficientCalculator!B19,A5:D13,4,0)/DiffusionCoefficientCalculator!B20))</f>
        <v>5.8993393612701082E-4</v>
      </c>
      <c r="K24" s="31">
        <f>((3*I24*0.001)/(4*PI()*6.022E+23*627))^(1/3)</f>
        <v>2.8358488564661656E-10</v>
      </c>
      <c r="L24" s="31"/>
      <c r="M24" s="31"/>
    </row>
    <row r="26" spans="1:13" x14ac:dyDescent="0.35">
      <c r="A26" s="2" t="s">
        <v>17</v>
      </c>
      <c r="H26" s="2" t="s">
        <v>26</v>
      </c>
      <c r="I26" s="1">
        <f>DiffusionCoefficientCalculator!B20</f>
        <v>300</v>
      </c>
    </row>
    <row r="27" spans="1:13" x14ac:dyDescent="0.35">
      <c r="J27" s="2" t="s">
        <v>66</v>
      </c>
      <c r="K27" s="2" t="s">
        <v>67</v>
      </c>
    </row>
    <row r="28" spans="1:13" x14ac:dyDescent="0.35">
      <c r="A28" s="2" t="s">
        <v>12</v>
      </c>
      <c r="B28" s="2" t="s">
        <v>4</v>
      </c>
      <c r="C28" s="2"/>
      <c r="D28" s="2" t="s">
        <v>13</v>
      </c>
      <c r="E28" s="2"/>
      <c r="F28" s="2"/>
      <c r="H28" s="2" t="s">
        <v>33</v>
      </c>
      <c r="I28" s="4">
        <f>DiffusionCoefficientCalculator!B22</f>
        <v>8.0000000000000003E-10</v>
      </c>
      <c r="J28" s="32">
        <f>1.2891*I28</f>
        <v>1.03128E-9</v>
      </c>
      <c r="K28" s="32">
        <f>0.7109*I28</f>
        <v>5.6871999999999998E-10</v>
      </c>
    </row>
    <row r="29" spans="1:13" x14ac:dyDescent="0.35">
      <c r="A29" s="1" t="str">
        <f>DiffusionCoefficientCalculator!B3</f>
        <v>Test Sample</v>
      </c>
      <c r="B29" s="1">
        <f>DiffusionCoefficientCalculator!B10</f>
        <v>450</v>
      </c>
      <c r="D29" s="31">
        <f>((3*B29*0.001)/(4*PI()*6.022E+23*627))^(1/3)</f>
        <v>6.5771619776962071E-10</v>
      </c>
      <c r="E29" s="31"/>
      <c r="F29" s="31"/>
      <c r="H29" s="2"/>
      <c r="I29" s="4"/>
    </row>
    <row r="30" spans="1:13" x14ac:dyDescent="0.35">
      <c r="C30" s="2"/>
      <c r="D30" s="2"/>
      <c r="H30" s="2" t="s">
        <v>31</v>
      </c>
    </row>
    <row r="31" spans="1:13" x14ac:dyDescent="0.35">
      <c r="A31" s="2" t="s">
        <v>19</v>
      </c>
      <c r="B31" s="31">
        <f>D24/D29</f>
        <v>0.57184790648713391</v>
      </c>
      <c r="C31" s="31"/>
      <c r="D31" s="31"/>
      <c r="H31" s="1" t="s">
        <v>32</v>
      </c>
      <c r="I31" s="4">
        <f>(1.38E-23*I26)/(6*PI()*J24)</f>
        <v>3.7230240204308088E-19</v>
      </c>
    </row>
    <row r="32" spans="1:13" x14ac:dyDescent="0.35">
      <c r="A32" s="2" t="s">
        <v>20</v>
      </c>
      <c r="H32" s="2" t="s">
        <v>40</v>
      </c>
      <c r="I32" s="4">
        <f>I31/I28</f>
        <v>4.6537800255385111E-10</v>
      </c>
      <c r="J32" s="4">
        <f>I31/J28</f>
        <v>3.610100089627268E-10</v>
      </c>
      <c r="K32" s="4">
        <f>I31/K28</f>
        <v>6.5463216001385729E-10</v>
      </c>
    </row>
    <row r="34" spans="1:17" ht="33" customHeight="1" x14ac:dyDescent="0.35">
      <c r="A34" s="2" t="s">
        <v>21</v>
      </c>
      <c r="B34" s="31">
        <f>(1.5*B31+1/(1+B31))^-1</f>
        <v>0.66935939776963982</v>
      </c>
      <c r="H34" s="38" t="s">
        <v>41</v>
      </c>
      <c r="I34" s="2" t="s">
        <v>13</v>
      </c>
      <c r="J34" s="2" t="s">
        <v>64</v>
      </c>
      <c r="K34" s="2" t="s">
        <v>68</v>
      </c>
      <c r="M34" s="39" t="s">
        <v>62</v>
      </c>
      <c r="N34" s="38" t="str">
        <f>"rsolv"</f>
        <v>rsolv</v>
      </c>
    </row>
    <row r="35" spans="1:17" x14ac:dyDescent="0.35">
      <c r="H35" s="2" t="s">
        <v>36</v>
      </c>
      <c r="I35" s="32">
        <v>1</v>
      </c>
      <c r="J35" s="32">
        <v>1</v>
      </c>
      <c r="K35" s="32">
        <v>1</v>
      </c>
      <c r="M35" s="1" t="s">
        <v>43</v>
      </c>
      <c r="N35" s="4">
        <f>(3*I37-(I36*I36))/3</f>
        <v>-2.0897749723997619E-19</v>
      </c>
      <c r="P35" s="1" t="s">
        <v>45</v>
      </c>
      <c r="Q35" s="4">
        <f>(-N36/2+SQRT(N37))^(1/3)</f>
        <v>3.9839869199368374E-10</v>
      </c>
    </row>
    <row r="36" spans="1:17" x14ac:dyDescent="0.35">
      <c r="A36" s="2" t="s">
        <v>26</v>
      </c>
      <c r="B36" s="1">
        <f>DiffusionCoefficientCalculator!B8</f>
        <v>300</v>
      </c>
      <c r="H36" s="2" t="s">
        <v>37</v>
      </c>
      <c r="I36" s="32">
        <f>K24-I32</f>
        <v>-1.8179311690723455E-10</v>
      </c>
      <c r="J36" s="32">
        <f>K24-J32</f>
        <v>-7.7425123316110244E-11</v>
      </c>
      <c r="K36" s="32">
        <f>K24-K32</f>
        <v>-3.7104727436724073E-10</v>
      </c>
      <c r="M36" s="1" t="s">
        <v>44</v>
      </c>
      <c r="N36" s="4">
        <f>((2*I36^3)-(9*I36*I37)+(27*I38))/27</f>
        <v>-6.8579855978815257E-29</v>
      </c>
      <c r="P36" s="1" t="s">
        <v>46</v>
      </c>
      <c r="Q36" s="4">
        <f>(-N36/2-SQRT(N37))^(1/3)</f>
        <v>1.7484787763249717E-10</v>
      </c>
    </row>
    <row r="37" spans="1:17" ht="31" x14ac:dyDescent="0.35">
      <c r="B37" s="40" t="s">
        <v>64</v>
      </c>
      <c r="C37" s="41" t="s">
        <v>52</v>
      </c>
      <c r="D37" s="40" t="s">
        <v>65</v>
      </c>
      <c r="H37" s="2" t="s">
        <v>38</v>
      </c>
      <c r="I37" s="32">
        <f>-1.5*K24*I32</f>
        <v>-1.9796125145502704E-19</v>
      </c>
      <c r="J37" s="32">
        <f>-1.5*K24*J32</f>
        <v>-1.5356547316346836E-19</v>
      </c>
      <c r="K37" s="32">
        <f>-1.5*K24*K32</f>
        <v>-2.7846567935719097E-19</v>
      </c>
      <c r="M37" s="3" t="s">
        <v>42</v>
      </c>
      <c r="N37" s="4">
        <f>(N36^2)/4+(N35^3)/27</f>
        <v>8.3778506935937424E-58</v>
      </c>
      <c r="O37" s="1" t="str">
        <f>IF(N37&gt;0, "One Real Root", "check your equations")</f>
        <v>One Real Root</v>
      </c>
    </row>
    <row r="38" spans="1:17" x14ac:dyDescent="0.35">
      <c r="B38" s="42">
        <f>1.29008*C38</f>
        <v>1.0329697955687876E-9</v>
      </c>
      <c r="C38" s="42">
        <f>(1.38E-23*B36)/(6*PI()*B34*C24*D29)</f>
        <v>8.0070212356504067E-10</v>
      </c>
      <c r="D38" s="42">
        <f>0.70992*C38</f>
        <v>5.6843445156129363E-10</v>
      </c>
      <c r="H38" s="2" t="s">
        <v>39</v>
      </c>
      <c r="I38" s="32">
        <f>-1.5*K24*K24*I32</f>
        <v>-5.6138818856334948E-29</v>
      </c>
      <c r="J38" s="32">
        <f>-1.5*K24*K24*J32</f>
        <v>-4.3548847146330739E-29</v>
      </c>
      <c r="K38" s="32">
        <f>-1.5*K24*K24*K32</f>
        <v>-7.8968657837016393E-29</v>
      </c>
    </row>
    <row r="39" spans="1:17" ht="31.5" customHeight="1" x14ac:dyDescent="0.35">
      <c r="I39" s="4"/>
      <c r="M39" s="39" t="s">
        <v>62</v>
      </c>
      <c r="N39" s="38" t="str">
        <f>"rsolv+"</f>
        <v>rsolv+</v>
      </c>
    </row>
    <row r="40" spans="1:17" x14ac:dyDescent="0.35">
      <c r="G40" s="40" t="str">
        <f>"+"</f>
        <v>+</v>
      </c>
      <c r="H40" s="40" t="s">
        <v>63</v>
      </c>
      <c r="I40" s="40" t="str">
        <f>"—"</f>
        <v>—</v>
      </c>
      <c r="M40" s="1" t="s">
        <v>43</v>
      </c>
      <c r="N40" s="4">
        <f>(3*J37-(J36*J36))/3</f>
        <v>-1.5556368973697331E-19</v>
      </c>
      <c r="P40" s="1" t="s">
        <v>45</v>
      </c>
      <c r="Q40" s="4">
        <f>(-N41/2+SQRT(N42))^(1/3)</f>
        <v>3.5411901296077575E-10</v>
      </c>
    </row>
    <row r="41" spans="1:17" x14ac:dyDescent="0.35">
      <c r="G41" s="31">
        <f>Q40+Q41-(J36/3)</f>
        <v>5.2635997460258896E-10</v>
      </c>
      <c r="H41" s="31">
        <f>Q35+Q36-(I36/3)</f>
        <v>6.3384427526192578E-10</v>
      </c>
      <c r="I41" s="31">
        <f>Q45+Q46-(K36/3)</f>
        <v>8.2476646136418894E-10</v>
      </c>
      <c r="M41" s="1" t="s">
        <v>44</v>
      </c>
      <c r="N41" s="4">
        <f>((2*J36^3)-(9*J36*J37)+(27*J38))/27</f>
        <v>-4.7546502859615953E-29</v>
      </c>
      <c r="P41" s="1" t="s">
        <v>46</v>
      </c>
      <c r="Q41" s="4">
        <f>(-N41/2-SQRT(N42))^(1/3)</f>
        <v>1.4643258720310986E-10</v>
      </c>
    </row>
    <row r="42" spans="1:17" x14ac:dyDescent="0.35">
      <c r="G42" s="31"/>
      <c r="H42" s="31"/>
      <c r="I42" s="31"/>
      <c r="M42" s="3" t="s">
        <v>42</v>
      </c>
      <c r="N42" s="4">
        <f>(N41^2)/4+(N40^3)/27</f>
        <v>4.257359698838234E-58</v>
      </c>
      <c r="O42" s="1" t="str">
        <f>IF(N42&gt;0, "One Real Root", "check your equations")</f>
        <v>One Real Root</v>
      </c>
    </row>
    <row r="44" spans="1:17" ht="31" x14ac:dyDescent="0.35">
      <c r="G44" s="40" t="str">
        <f>"+"</f>
        <v>+</v>
      </c>
      <c r="H44" s="40" t="s">
        <v>34</v>
      </c>
      <c r="I44" s="40" t="str">
        <f>"—"</f>
        <v>—</v>
      </c>
      <c r="K44" s="4"/>
      <c r="M44" s="39" t="s">
        <v>62</v>
      </c>
      <c r="N44" s="38" t="str">
        <f>"rsolv-"</f>
        <v>rsolv-</v>
      </c>
    </row>
    <row r="45" spans="1:17" x14ac:dyDescent="0.35">
      <c r="G45" s="33">
        <f>(G41^3*6.022E+23*627*(4/3)*PI())*1000</f>
        <v>230.64575887956568</v>
      </c>
      <c r="H45" s="33">
        <f>(H41^3*6.022E+23*627*(4/3)*PI())*1000</f>
        <v>402.75841029376954</v>
      </c>
      <c r="I45" s="33">
        <f>(I41^3*6.022E+23*627*(4/3)*PI())*1000</f>
        <v>887.33963000224685</v>
      </c>
      <c r="M45" s="1" t="s">
        <v>43</v>
      </c>
      <c r="N45" s="4">
        <f>(3*K37-(K36*K36))/3</f>
        <v>-3.2435770596231047E-19</v>
      </c>
      <c r="P45" s="1" t="s">
        <v>45</v>
      </c>
      <c r="Q45" s="4">
        <f>(-N46/2+SQRT(N47))^(1/3)</f>
        <v>4.7203469816721666E-10</v>
      </c>
    </row>
    <row r="46" spans="1:17" x14ac:dyDescent="0.35">
      <c r="M46" s="1" t="s">
        <v>44</v>
      </c>
      <c r="N46" s="4">
        <f>((2*K36^3)-(9*K36*K37)+(27*K38))/27</f>
        <v>-1.1719399303312307E-28</v>
      </c>
      <c r="P46" s="1" t="s">
        <v>46</v>
      </c>
      <c r="Q46" s="4">
        <f>(-N46/2-SQRT(N47))^(1/3)</f>
        <v>2.2904933840789208E-10</v>
      </c>
    </row>
    <row r="47" spans="1:17" x14ac:dyDescent="0.35">
      <c r="M47" s="3" t="s">
        <v>42</v>
      </c>
      <c r="N47" s="4">
        <f>(N46^2)/4+(N45^3)/27</f>
        <v>2.1697191103943624E-57</v>
      </c>
      <c r="O47" s="1" t="str">
        <f>IF(N47&gt;0, "One Real Root", "check your equations")</f>
        <v>One Real Root</v>
      </c>
    </row>
  </sheetData>
  <mergeCells count="2">
    <mergeCell ref="C3:D3"/>
    <mergeCell ref="J2:Q3"/>
  </mergeCells>
  <pageMargins left="0.75" right="0.75" top="1" bottom="1" header="0.5" footer="0.5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DiffusionCoefficientCalculator</vt:lpstr>
      <vt:lpstr>Solvent Data,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Evans</dc:creator>
  <cp:lastModifiedBy>Rob Evans</cp:lastModifiedBy>
  <dcterms:created xsi:type="dcterms:W3CDTF">2012-10-31T11:04:24Z</dcterms:created>
  <dcterms:modified xsi:type="dcterms:W3CDTF">2023-10-09T18:47:49Z</dcterms:modified>
</cp:coreProperties>
</file>